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EVIS 01" sheetId="1" r:id="rId1"/>
    <sheet name="Recap" sheetId="2" r:id="rId2"/>
  </sheets>
  <definedNames>
    <definedName name="_1.01">#REF!</definedName>
    <definedName name="_DO1">#REF!</definedName>
    <definedName name="_MO1">#REF!</definedName>
    <definedName name="_r">#REF!</definedName>
    <definedName name="_t1">#REF!</definedName>
    <definedName name="ATTC">#REF!</definedName>
    <definedName name="COEFF">#REF!</definedName>
    <definedName name="COEFF.deVENTE_C">#REF!</definedName>
    <definedName name="d">#REF!</definedName>
    <definedName name="DD">#REF!</definedName>
    <definedName name="do">#REF!</definedName>
    <definedName name="E">#REF!</definedName>
    <definedName name="ed">#REF!</definedName>
    <definedName name="eo">#REF!</definedName>
    <definedName name="erts">#REF!</definedName>
    <definedName name="Excel_BuiltIn_Print_Area">#REF!</definedName>
    <definedName name="Excel_BuiltIn_Print_Titles">#REF!</definedName>
    <definedName name="ezsdtre">#REF!</definedName>
    <definedName name="f">#REF!</definedName>
    <definedName name="feuille">#REF!</definedName>
    <definedName name="fo">#REF!</definedName>
    <definedName name="Frais">#REF!</definedName>
    <definedName name="g">#REF!</definedName>
    <definedName name="ghui">#REF!</definedName>
    <definedName name="HT">#REF!</definedName>
    <definedName name="HT_FAP">#REF!</definedName>
    <definedName name="jklm">#REF!</definedName>
    <definedName name="m">#REF!</definedName>
    <definedName name="Marge">#REF!</definedName>
    <definedName name="matbpu">#REF!</definedName>
    <definedName name="mmmmm">#REF!</definedName>
    <definedName name="mo">#REF!</definedName>
    <definedName name="nvder">#REF!</definedName>
    <definedName name="PL">#REF!</definedName>
    <definedName name="Plage_FAP">#REF!</definedName>
    <definedName name="PLANNING2">#REF!</definedName>
    <definedName name="PLOMBERIE">#REF!</definedName>
    <definedName name="PP">#REF!</definedName>
    <definedName name="PPPP">#REF!</definedName>
    <definedName name="sez">#REF!</definedName>
    <definedName name="t">#REF!</definedName>
    <definedName name="Taux_Tva">#REF!</definedName>
    <definedName name="Total_Autres_Frais">#REF!</definedName>
    <definedName name="Total_ML">#REF!</definedName>
    <definedName name="tr">#REF!</definedName>
    <definedName name="TTC">#REF!</definedName>
    <definedName name="Tva">#REF!</definedName>
    <definedName name="tx">#REF!</definedName>
    <definedName name="ww">#REF!</definedName>
    <definedName name="X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<sst xmlns="http://schemas.openxmlformats.org/spreadsheetml/2006/main" count="210" uniqueCount="157">
  <si>
    <t xml:space="preserve"> DEVIS ESTIMATIF</t>
  </si>
  <si>
    <t xml:space="preserve"> </t>
  </si>
  <si>
    <t>Maternité de BASSOUL</t>
  </si>
  <si>
    <t>N°</t>
  </si>
  <si>
    <t>DESIGNATION</t>
  </si>
  <si>
    <t>U</t>
  </si>
  <si>
    <t>QUANT.</t>
  </si>
  <si>
    <t>PRIX U.</t>
  </si>
  <si>
    <t>PRIX TOTAL</t>
  </si>
  <si>
    <t>I</t>
  </si>
  <si>
    <t>TERRASSEMENT</t>
  </si>
  <si>
    <t>I.1</t>
  </si>
  <si>
    <t>Préparation du terrain</t>
  </si>
  <si>
    <t>M²</t>
  </si>
  <si>
    <t>I.2</t>
  </si>
  <si>
    <t>Fouilles en rigole pour soubassement</t>
  </si>
  <si>
    <r>
      <t>M</t>
    </r>
    <r>
      <rPr>
        <vertAlign val="superscript"/>
        <sz val="12"/>
        <rFont val="Arial"/>
        <family val="2"/>
      </rPr>
      <t>3</t>
    </r>
  </si>
  <si>
    <t>I.3</t>
  </si>
  <si>
    <t>Fouilles en puits pour semelles isolées</t>
  </si>
  <si>
    <t>I.4</t>
  </si>
  <si>
    <t>Remblai sable d' apport sous dallage</t>
  </si>
  <si>
    <t>SOUS  TOTAL TERRASSEMENT</t>
  </si>
  <si>
    <t>II</t>
  </si>
  <si>
    <t>GROS ŒUVRE</t>
  </si>
  <si>
    <t>II.1</t>
  </si>
  <si>
    <t>Béton de propreté dosé à 150 kg/m3 
semelles isolées et soubassement (ép,5cm)</t>
  </si>
  <si>
    <t>II.2</t>
  </si>
  <si>
    <t xml:space="preserve">Béton de armé dosé à 350 kg/m3 semelles isolées, poteau, chainage y/c ferraillage et coffrage </t>
  </si>
  <si>
    <t>II.3</t>
  </si>
  <si>
    <t xml:space="preserve">Béton de forme dosé à 250 kg/m3 pour dallage sol intérieur ( ép.=10cm) y/c treillis soudé  </t>
  </si>
  <si>
    <t>II.5</t>
  </si>
  <si>
    <t>Béton de forme dosé à 300 kg/m3 pour dallage sol trottoir périphérique de 1,00m ( ép.=10cm) y/c rampe d' accés</t>
  </si>
  <si>
    <t>II.6</t>
  </si>
  <si>
    <t>Béton armé dosé à 400kg/m3 pour paillasse</t>
  </si>
  <si>
    <t>II.7</t>
  </si>
  <si>
    <t>Maçonnerie de soubassement en agglos pleins</t>
  </si>
  <si>
    <t>II.8</t>
  </si>
  <si>
    <t>Maçonnerie d'élevation en agglos creux de 15cm pour Mur</t>
  </si>
  <si>
    <t>II.9</t>
  </si>
  <si>
    <t xml:space="preserve">Maçonnerie d'élevation en agglos creux de 10cm pour placard
</t>
  </si>
  <si>
    <t>II.10</t>
  </si>
  <si>
    <t xml:space="preserve">Béton dosé à 350kg/m3 pour chainage, linteaux et  placards y/c ferraillages et coffrage
</t>
  </si>
  <si>
    <t>M3</t>
  </si>
  <si>
    <t>II.11</t>
  </si>
  <si>
    <t xml:space="preserve">Béton dosé à 350kg/m3 pour appui fenétre y/c ferraillage et coffrage
</t>
  </si>
  <si>
    <t>II.12</t>
  </si>
  <si>
    <t xml:space="preserve">Chape bouchardée ép 0,02 au mortier de ciment dosé à 350 kg/m3 </t>
  </si>
  <si>
    <t>II.13</t>
  </si>
  <si>
    <t>Enduits taloché au mortier de ciment dosé à 400 kg/m3 sur murs intérieurs et extérieurs</t>
  </si>
  <si>
    <t>SOUS TOTAL GO MACONNERIE ET ELEVATION</t>
  </si>
  <si>
    <t>III</t>
  </si>
  <si>
    <t xml:space="preserve"> CARRELAGE-REVETEMENT</t>
  </si>
  <si>
    <t>III.1</t>
  </si>
  <si>
    <t>F et P de carreaux grés cérame</t>
  </si>
  <si>
    <t>m2</t>
  </si>
  <si>
    <t>III.2</t>
  </si>
  <si>
    <t>F et P de plinthe  dito de 30x7</t>
  </si>
  <si>
    <t>ml</t>
  </si>
  <si>
    <t>III.3</t>
  </si>
  <si>
    <t>F et P de carreaux grés cérame antidérapant pour points d'eau</t>
  </si>
  <si>
    <t>III.4</t>
  </si>
  <si>
    <t>F et P de carreaux en faïence 15x15 de couleur blanche hauteur 1,8m</t>
  </si>
  <si>
    <t>SOUS TOTAL CARRELAGE</t>
  </si>
  <si>
    <t>IV</t>
  </si>
  <si>
    <t xml:space="preserve"> MENUISERIE BOIS</t>
  </si>
  <si>
    <t>IV.1</t>
  </si>
  <si>
    <t>F et P de porte isoplane dim:(0,7x2,20) pour toilettes</t>
  </si>
  <si>
    <t>IV.2</t>
  </si>
  <si>
    <t xml:space="preserve">F et P de porte isoplane dim:(0,8x2,20) </t>
  </si>
  <si>
    <t>IV.4</t>
  </si>
  <si>
    <t xml:space="preserve">F et P de porte isoplane dim:(1,5x2,20) </t>
  </si>
  <si>
    <t xml:space="preserve">TOTAL  MENUISERIE BOIS </t>
  </si>
  <si>
    <t>V</t>
  </si>
  <si>
    <t xml:space="preserve"> MENUISERIE ALUMINIUM  </t>
  </si>
  <si>
    <t>V.1</t>
  </si>
  <si>
    <t>F et P de fenêtre  en alu vitré + moustiquaire dim:  (0,60x0,60) pour toilettes</t>
  </si>
  <si>
    <t>V.2</t>
  </si>
  <si>
    <t>F et P de baie vitrée alu avec fenetre de (1,2x1,2)</t>
  </si>
  <si>
    <t xml:space="preserve">TOTAL  MENUISERIE ALU </t>
  </si>
  <si>
    <t>VI</t>
  </si>
  <si>
    <t>MENUISERIE METALLIQUE - FERRONNERIE - CHARPENTE ET TOITURE</t>
  </si>
  <si>
    <t>VI.1</t>
  </si>
  <si>
    <t>F et P de grilles de protection métallique pour fenetre dim:(1,3X1,3)</t>
  </si>
  <si>
    <t>VI.2</t>
  </si>
  <si>
    <t>F et P de grilles de protection métallique pour fenetre dim:(0,7X0,7)</t>
  </si>
  <si>
    <t>VI.3</t>
  </si>
  <si>
    <t xml:space="preserve"> Charpente et Toiture</t>
  </si>
  <si>
    <t>TOTAL  MENUISERIE METALLIQUE</t>
  </si>
  <si>
    <t>VII</t>
  </si>
  <si>
    <t xml:space="preserve"> PLOMBERIE SANITAIRE - PRODUCTION D'EAU </t>
  </si>
  <si>
    <t>ASSAINISSEMENT</t>
  </si>
  <si>
    <t>A</t>
  </si>
  <si>
    <t>Alimentation-Evacuation</t>
  </si>
  <si>
    <t>Alimentation / evacuation</t>
  </si>
  <si>
    <t>ens</t>
  </si>
  <si>
    <t xml:space="preserve">Regard de visite 80X80X200 avec couvercle en béton </t>
  </si>
  <si>
    <t xml:space="preserve">SOUS TOTAL Alimentation-Evacuation   </t>
  </si>
  <si>
    <t>B</t>
  </si>
  <si>
    <t>APPARIELS SANITAIRES type SHENI</t>
  </si>
  <si>
    <t>Cuvette de WC à l'anglaise à bouton poussoir complet plus accessoires</t>
  </si>
  <si>
    <t>Lavabo complet plus accessoires</t>
  </si>
  <si>
    <t>Receveur en porcelaine visa blanc (0,7X0,7) plus accessoires</t>
  </si>
  <si>
    <t>Evier en inox plus accessoires</t>
  </si>
  <si>
    <t>Robinet de puisage</t>
  </si>
  <si>
    <t>SOUS TOTAL  Appariels Sanitaires type SHENI</t>
  </si>
  <si>
    <t>TOTAL  PLOMBERIE SANITAIRE</t>
  </si>
  <si>
    <t xml:space="preserve">ELECTRICITE - </t>
  </si>
  <si>
    <t>VIII</t>
  </si>
  <si>
    <t xml:space="preserve">ECLAIRAGE - COURANT FORT - </t>
  </si>
  <si>
    <t>VIII.1</t>
  </si>
  <si>
    <t>Hublot simple</t>
  </si>
  <si>
    <t>VIII.2</t>
  </si>
  <si>
    <t>Hublot étanche</t>
  </si>
  <si>
    <t>VIII.3</t>
  </si>
  <si>
    <t>Réglette bloc néon de 0,6m</t>
  </si>
  <si>
    <t>VIII.4</t>
  </si>
  <si>
    <t xml:space="preserve">Interrupteur simple allumage </t>
  </si>
  <si>
    <t>VIII.5</t>
  </si>
  <si>
    <t xml:space="preserve">Interrupteur double allumage </t>
  </si>
  <si>
    <t>VIII.6</t>
  </si>
  <si>
    <t>Prise de courant 2P +T 16A</t>
  </si>
  <si>
    <t>VIII.7</t>
  </si>
  <si>
    <t>Prise de courant 2P +T 16A étanche</t>
  </si>
  <si>
    <t>VIII.8</t>
  </si>
  <si>
    <t>Prise TV</t>
  </si>
  <si>
    <t>VIII.10</t>
  </si>
  <si>
    <t>Fourreautages et Filerie</t>
  </si>
  <si>
    <t>VIII.11</t>
  </si>
  <si>
    <t>Coffret électrique encastré équipé</t>
  </si>
  <si>
    <t>VIII.12</t>
  </si>
  <si>
    <t>Tableau compteur + coupe circuit + disjoncteur Baco 2X5/15A</t>
  </si>
  <si>
    <t xml:space="preserve"> TOTAL ELECTRICITE   </t>
  </si>
  <si>
    <t>IX</t>
  </si>
  <si>
    <t xml:space="preserve"> PEINTURE </t>
  </si>
  <si>
    <t>IX.2</t>
  </si>
  <si>
    <t xml:space="preserve">Peinture pantex puissant sur murs </t>
  </si>
  <si>
    <t>IX.3</t>
  </si>
  <si>
    <t>Peinture à huile sur menuiserie bois</t>
  </si>
  <si>
    <t>IX.4</t>
  </si>
  <si>
    <t>Peinture à huile sur menuiserie métallique</t>
  </si>
  <si>
    <t>TOTAL PEINTURE</t>
  </si>
  <si>
    <t xml:space="preserve">Arrété cette présente devis à la somme de: </t>
  </si>
  <si>
    <t>RECAPITULATIF DES TRAVAUX DE :</t>
  </si>
  <si>
    <t>DESIGNATIONS</t>
  </si>
  <si>
    <t>COUT DES TRAVAUX</t>
  </si>
  <si>
    <t>TOTAL TERRASSEMENT</t>
  </si>
  <si>
    <t>SOUS  TOTAL GO  MACONNERIE ET ELEVATION</t>
  </si>
  <si>
    <t xml:space="preserve"> SOUS TOTAL CARRELAGE-REVETEMENT</t>
  </si>
  <si>
    <t xml:space="preserve"> TOTAL MENUISERIE BOIS</t>
  </si>
  <si>
    <t>TOTAL MENUISERIE ALU</t>
  </si>
  <si>
    <t>TOTAL MENUISERIE METALLIQUE - FERRONNERIE - CHARPENTE ET TOITURE</t>
  </si>
  <si>
    <t xml:space="preserve"> TOTAL PLOMBERIE SANITAIRE - PRODUCTION D'EAU </t>
  </si>
  <si>
    <t>TOTAL ELECTRICITE</t>
  </si>
  <si>
    <t xml:space="preserve"> TOTAL  PEINTURE </t>
  </si>
  <si>
    <t>TOTAL CONSTRUCTION en FCFA HTVA</t>
  </si>
  <si>
    <t>TVA 18%  en FCFA HTVA</t>
  </si>
  <si>
    <t>TOTAL CONSTRUCTION en FCFA TTC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</si>
</sst>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_-* #,##0.0\ _€_-;\-* #,##0.0\ _€_-;_-* \-??\ _€_-;_-@_-"/>
    <numFmt numFmtId="166" formatCode="_(\$* #,##0_);_(\$* \(#,##0\);_(\$* \-_);_(@_)"/>
    <numFmt numFmtId="167" formatCode="_(\$* #,##0.00_);_(\$* \(#,##0.00\);_(\$* \-??_);_(@_)"/>
    <numFmt numFmtId="168" formatCode="_-* #,##0.00\ _€_-;\-* #,##0.00\ _€_-;_-* \-??\ _€_-;_-@_-"/>
    <numFmt numFmtId="169" formatCode="_-* #,##0\ _€_-;\-* #,##0\ _€_-;_-* \-??\ _€_-;_-@_-"/>
  </numFmts>
  <fonts count="10">
    <font>
      <sz val="10"/>
      <name val="Arial"/>
      <family val="2"/>
    </font>
    <font>
      <b/>
      <sz val="14"/>
      <name val="Arial"/>
      <family val="2"/>
    </font>
    <font>
      <sz val="10"/>
      <name val="CG TIMES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horizontal="center"/>
      <protection/>
    </xf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9" fontId="0" fillId="0" borderId="0" applyFill="0" applyBorder="0" applyAlignment="0" applyProtection="0"/>
    <xf numFmtId="0" fontId="0" fillId="2" borderId="0">
      <alignment/>
      <protection/>
    </xf>
    <xf numFmtId="2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9" fontId="5" fillId="0" borderId="10" xfId="19" applyNumberFormat="1" applyFont="1" applyFill="1" applyBorder="1" applyAlignment="1" applyProtection="1">
      <alignment horizontal="center" vertical="center"/>
      <protection/>
    </xf>
    <xf numFmtId="169" fontId="5" fillId="0" borderId="11" xfId="19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2" fontId="5" fillId="0" borderId="12" xfId="0" applyNumberFormat="1" applyFont="1" applyBorder="1" applyAlignment="1">
      <alignment horizontal="center" vertical="center"/>
    </xf>
    <xf numFmtId="169" fontId="5" fillId="0" borderId="12" xfId="19" applyNumberFormat="1" applyFont="1" applyFill="1" applyBorder="1" applyAlignment="1" applyProtection="1">
      <alignment horizontal="center" vertical="center"/>
      <protection/>
    </xf>
    <xf numFmtId="169" fontId="5" fillId="0" borderId="13" xfId="19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69" fontId="5" fillId="0" borderId="14" xfId="19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9" fontId="6" fillId="0" borderId="8" xfId="19" applyNumberFormat="1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vertical="center" wrapText="1"/>
    </xf>
    <xf numFmtId="169" fontId="5" fillId="0" borderId="7" xfId="19" applyNumberFormat="1" applyFont="1" applyFill="1" applyBorder="1" applyAlignment="1" applyProtection="1">
      <alignment horizontal="center" vertical="center"/>
      <protection/>
    </xf>
    <xf numFmtId="169" fontId="5" fillId="0" borderId="8" xfId="19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169" fontId="5" fillId="0" borderId="16" xfId="19" applyNumberFormat="1" applyFont="1" applyFill="1" applyBorder="1" applyAlignment="1" applyProtection="1">
      <alignment horizontal="center" vertical="center"/>
      <protection/>
    </xf>
    <xf numFmtId="169" fontId="5" fillId="0" borderId="17" xfId="19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165" fontId="5" fillId="0" borderId="12" xfId="19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9" fontId="5" fillId="0" borderId="10" xfId="19" applyNumberFormat="1" applyFont="1" applyFill="1" applyBorder="1" applyAlignment="1" applyProtection="1">
      <alignment horizontal="center" vertical="center" wrapText="1"/>
      <protection/>
    </xf>
    <xf numFmtId="169" fontId="5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69" fontId="5" fillId="0" borderId="12" xfId="19" applyNumberFormat="1" applyFont="1" applyFill="1" applyBorder="1" applyAlignment="1" applyProtection="1">
      <alignment horizontal="center" vertical="center" wrapText="1"/>
      <protection/>
    </xf>
    <xf numFmtId="169" fontId="5" fillId="0" borderId="13" xfId="19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9" fontId="6" fillId="0" borderId="0" xfId="1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9" fontId="9" fillId="0" borderId="6" xfId="19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69" fontId="1" fillId="0" borderId="6" xfId="19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</cellXfs>
  <cellStyles count="18">
    <cellStyle name="Normal" xfId="0"/>
    <cellStyle name="Euro" xfId="15"/>
    <cellStyle name="Financier0" xfId="16"/>
    <cellStyle name="gras" xfId="17"/>
    <cellStyle name="l8:l1216" xfId="18"/>
    <cellStyle name="Comma" xfId="19"/>
    <cellStyle name="Comma [0]" xfId="20"/>
    <cellStyle name="Milliers 2" xfId="21"/>
    <cellStyle name="Milliers 3" xfId="22"/>
    <cellStyle name="Milliers 4" xfId="23"/>
    <cellStyle name="Currency" xfId="24"/>
    <cellStyle name="Currency [0]" xfId="25"/>
    <cellStyle name="Normal 2" xfId="26"/>
    <cellStyle name="Percent" xfId="27"/>
    <cellStyle name="Standard_Anpassen der Amortisation" xfId="28"/>
    <cellStyle name="Virgule fixe" xfId="29"/>
    <cellStyle name="Währung [0]_Budget" xfId="30"/>
    <cellStyle name="Währung_Budge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64">
      <selection activeCell="I76" sqref="I76"/>
    </sheetView>
  </sheetViews>
  <sheetFormatPr defaultColWidth="11.421875" defaultRowHeight="20.25" customHeight="1"/>
  <cols>
    <col min="1" max="1" width="6.421875" style="1" customWidth="1"/>
    <col min="2" max="2" width="42.00390625" style="2" customWidth="1"/>
    <col min="3" max="3" width="7.7109375" style="2" customWidth="1"/>
    <col min="4" max="4" width="13.421875" style="2" customWidth="1"/>
    <col min="5" max="5" width="14.7109375" style="2" customWidth="1"/>
    <col min="6" max="6" width="20.7109375" style="2" customWidth="1"/>
    <col min="7" max="16384" width="11.421875" style="2" customWidth="1"/>
  </cols>
  <sheetData>
    <row r="1" ht="20.25" customHeight="1">
      <c r="B1" s="3" t="s">
        <v>0</v>
      </c>
    </row>
    <row r="2" ht="13.5" customHeight="1">
      <c r="B2" s="2" t="s">
        <v>1</v>
      </c>
    </row>
    <row r="3" spans="2:4" ht="20.25" customHeight="1">
      <c r="B3" s="4" t="s">
        <v>2</v>
      </c>
      <c r="C3" s="4"/>
      <c r="D3" s="4"/>
    </row>
    <row r="5" spans="1:9" ht="20.25" customHeight="1">
      <c r="A5" s="5" t="s">
        <v>3</v>
      </c>
      <c r="B5" s="6" t="s">
        <v>4</v>
      </c>
      <c r="C5" s="7" t="s">
        <v>5</v>
      </c>
      <c r="D5" s="7" t="s">
        <v>6</v>
      </c>
      <c r="E5" s="8" t="s">
        <v>7</v>
      </c>
      <c r="F5" s="9" t="s">
        <v>8</v>
      </c>
      <c r="G5" s="10">
        <v>22</v>
      </c>
      <c r="H5" s="2">
        <f>17.8+16.2+38.4</f>
        <v>72.4</v>
      </c>
      <c r="I5" s="2">
        <v>5.1</v>
      </c>
    </row>
    <row r="6" spans="1:9" ht="20.25" customHeight="1">
      <c r="A6" s="9" t="s">
        <v>9</v>
      </c>
      <c r="B6" s="11" t="s">
        <v>10</v>
      </c>
      <c r="C6" s="12"/>
      <c r="D6" s="13"/>
      <c r="E6" s="12"/>
      <c r="F6" s="14"/>
      <c r="G6" s="10"/>
      <c r="H6" s="2">
        <v>10.1</v>
      </c>
      <c r="I6" s="2">
        <f>9+0.6</f>
        <v>9.6</v>
      </c>
    </row>
    <row r="7" spans="1:8" ht="20.25" customHeight="1">
      <c r="A7" s="15" t="s">
        <v>11</v>
      </c>
      <c r="B7" s="16" t="s">
        <v>12</v>
      </c>
      <c r="C7" s="17" t="s">
        <v>13</v>
      </c>
      <c r="D7" s="17">
        <v>106.65</v>
      </c>
      <c r="E7" s="18">
        <v>160</v>
      </c>
      <c r="F7" s="19">
        <f>D7*E7</f>
        <v>17064</v>
      </c>
      <c r="G7" s="10"/>
      <c r="H7" s="2">
        <f>H6*I6*1.1</f>
        <v>106.656</v>
      </c>
    </row>
    <row r="8" spans="1:8" ht="20.25" customHeight="1">
      <c r="A8" s="15" t="s">
        <v>14</v>
      </c>
      <c r="B8" s="20" t="s">
        <v>15</v>
      </c>
      <c r="C8" s="17" t="s">
        <v>16</v>
      </c>
      <c r="D8" s="21">
        <v>32.4</v>
      </c>
      <c r="E8" s="22">
        <v>2000</v>
      </c>
      <c r="F8" s="23">
        <f>D8*E8</f>
        <v>64800</v>
      </c>
      <c r="G8" s="10"/>
      <c r="H8" s="2">
        <f>(72.4-22*0.9)*0.7*0.8*1.1</f>
        <v>32.40160000000001</v>
      </c>
    </row>
    <row r="9" spans="1:8" ht="20.25" customHeight="1">
      <c r="A9" s="15" t="s">
        <v>17</v>
      </c>
      <c r="B9" s="20" t="s">
        <v>18</v>
      </c>
      <c r="C9" s="17" t="s">
        <v>16</v>
      </c>
      <c r="D9" s="21">
        <v>23.52</v>
      </c>
      <c r="E9" s="22">
        <v>10000</v>
      </c>
      <c r="F9" s="23">
        <f>D9*E9</f>
        <v>235200</v>
      </c>
      <c r="G9" s="10"/>
      <c r="H9" s="2">
        <f>22*0.9*0.9*1.2*1.1</f>
        <v>23.5224</v>
      </c>
    </row>
    <row r="10" spans="1:8" ht="20.25" customHeight="1">
      <c r="A10" s="15" t="s">
        <v>19</v>
      </c>
      <c r="B10" s="24" t="s">
        <v>20</v>
      </c>
      <c r="C10" s="17" t="s">
        <v>16</v>
      </c>
      <c r="D10" s="25">
        <v>40.924</v>
      </c>
      <c r="E10" s="26">
        <v>4500</v>
      </c>
      <c r="F10" s="23">
        <f>D10*E10</f>
        <v>184158</v>
      </c>
      <c r="G10" s="10"/>
      <c r="H10" s="2">
        <f>H8+H9-15</f>
        <v>40.92400000000001</v>
      </c>
    </row>
    <row r="11" spans="1:7" ht="20.25" customHeight="1">
      <c r="A11" s="27"/>
      <c r="B11" s="69" t="s">
        <v>21</v>
      </c>
      <c r="C11" s="69"/>
      <c r="D11" s="69"/>
      <c r="E11" s="69"/>
      <c r="F11" s="29">
        <f>SUM(F7:F10)</f>
        <v>501222</v>
      </c>
      <c r="G11" s="10"/>
    </row>
    <row r="12" spans="1:6" ht="14.25" customHeight="1">
      <c r="A12" s="9" t="s">
        <v>22</v>
      </c>
      <c r="B12" s="30" t="s">
        <v>23</v>
      </c>
      <c r="C12" s="12"/>
      <c r="D12" s="12"/>
      <c r="E12" s="31"/>
      <c r="F12" s="32"/>
    </row>
    <row r="13" spans="1:10" ht="51" customHeight="1">
      <c r="A13" s="33" t="s">
        <v>24</v>
      </c>
      <c r="B13" s="34" t="s">
        <v>25</v>
      </c>
      <c r="C13" s="35" t="s">
        <v>16</v>
      </c>
      <c r="D13" s="35">
        <v>1.93</v>
      </c>
      <c r="E13" s="36">
        <v>45000</v>
      </c>
      <c r="F13" s="37">
        <f>D13*E13</f>
        <v>86850</v>
      </c>
      <c r="H13" s="2">
        <f>0.05*22*1.1</f>
        <v>1.2100000000000002</v>
      </c>
      <c r="I13" s="2">
        <f>(72.4-22*0.9)*0.25*0.05*1.1</f>
        <v>0.7232500000000003</v>
      </c>
      <c r="J13" s="4">
        <v>1.93</v>
      </c>
    </row>
    <row r="14" spans="1:10" ht="47.25" customHeight="1">
      <c r="A14" s="15" t="s">
        <v>26</v>
      </c>
      <c r="B14" s="38" t="s">
        <v>27</v>
      </c>
      <c r="C14" s="39" t="s">
        <v>16</v>
      </c>
      <c r="D14" s="40">
        <v>6</v>
      </c>
      <c r="E14" s="22">
        <v>135000</v>
      </c>
      <c r="F14" s="23">
        <f>D14*E14</f>
        <v>810000</v>
      </c>
      <c r="G14" s="2">
        <f>0.15*0.15*22*3.2*1.1</f>
        <v>1.7424000000000002</v>
      </c>
      <c r="H14" s="2">
        <f>0.9*0.9*0.35*1.1</f>
        <v>0.31185</v>
      </c>
      <c r="I14" s="2">
        <f>0.15*0.15*22*1.1</f>
        <v>0.5445</v>
      </c>
      <c r="J14" s="2">
        <f>0.3*0.15*(72-22*0.15)*1.1</f>
        <v>3.40065</v>
      </c>
    </row>
    <row r="15" spans="1:8" ht="43.5" customHeight="1">
      <c r="A15" s="15" t="s">
        <v>28</v>
      </c>
      <c r="B15" s="38" t="s">
        <v>29</v>
      </c>
      <c r="C15" s="39" t="s">
        <v>16</v>
      </c>
      <c r="D15" s="21">
        <v>9.48</v>
      </c>
      <c r="E15" s="22">
        <v>90000</v>
      </c>
      <c r="F15" s="23">
        <f aca="true" t="shared" si="0" ref="F15:F24">D15*E15</f>
        <v>853200</v>
      </c>
      <c r="H15" s="2">
        <f>((10.1*9.6)-(2*5.4))*0.1*1.1</f>
        <v>9.4776</v>
      </c>
    </row>
    <row r="16" spans="1:8" ht="51" customHeight="1">
      <c r="A16" s="15" t="s">
        <v>30</v>
      </c>
      <c r="B16" s="41" t="s">
        <v>31</v>
      </c>
      <c r="C16" s="39" t="s">
        <v>16</v>
      </c>
      <c r="D16" s="39">
        <v>5.201</v>
      </c>
      <c r="E16" s="22">
        <v>130000</v>
      </c>
      <c r="F16" s="23">
        <f t="shared" si="0"/>
        <v>676130</v>
      </c>
      <c r="H16" s="2">
        <f>(10.1+9.6)*2*1.2*0.1*1.1</f>
        <v>5.2008</v>
      </c>
    </row>
    <row r="17" spans="1:8" ht="31.5" customHeight="1">
      <c r="A17" s="15" t="s">
        <v>32</v>
      </c>
      <c r="B17" s="38" t="s">
        <v>33</v>
      </c>
      <c r="C17" s="42" t="s">
        <v>16</v>
      </c>
      <c r="D17" s="39">
        <v>2.78</v>
      </c>
      <c r="E17" s="22">
        <v>145000</v>
      </c>
      <c r="F17" s="23">
        <f t="shared" si="0"/>
        <v>403100</v>
      </c>
      <c r="H17" s="2">
        <f>(6.1+7.1+3.4)*0.12+(10*0.9*0.8*0.1*1.1)</f>
        <v>2.784</v>
      </c>
    </row>
    <row r="18" spans="1:8" ht="31.5" customHeight="1">
      <c r="A18" s="15" t="s">
        <v>34</v>
      </c>
      <c r="B18" s="38" t="s">
        <v>35</v>
      </c>
      <c r="C18" s="43" t="s">
        <v>13</v>
      </c>
      <c r="D18" s="39">
        <v>75.57</v>
      </c>
      <c r="E18" s="22">
        <v>6500</v>
      </c>
      <c r="F18" s="23">
        <f t="shared" si="0"/>
        <v>491204.99999999994</v>
      </c>
      <c r="H18" s="2">
        <f>1*(72-22*0.15)*1.1</f>
        <v>75.57000000000001</v>
      </c>
    </row>
    <row r="19" spans="1:8" ht="33.75" customHeight="1">
      <c r="A19" s="15" t="s">
        <v>36</v>
      </c>
      <c r="B19" s="38" t="s">
        <v>37</v>
      </c>
      <c r="C19" s="39" t="s">
        <v>13</v>
      </c>
      <c r="D19" s="39">
        <v>210.624</v>
      </c>
      <c r="E19" s="22">
        <v>4800</v>
      </c>
      <c r="F19" s="23">
        <f t="shared" si="0"/>
        <v>1010995.2</v>
      </c>
      <c r="H19" s="2">
        <f>(3.2*(72-22*0.15)*1.1)-((3*1.4*2.1)+(1.2*2.1)+(2*0.8*2.1)+(2*0.7*2.1)+(7*1.4*1.2)+(5*0.6*0.6))</f>
        <v>210.62400000000005</v>
      </c>
    </row>
    <row r="20" spans="1:8" ht="33.75" customHeight="1">
      <c r="A20" s="15" t="s">
        <v>38</v>
      </c>
      <c r="B20" s="38" t="s">
        <v>39</v>
      </c>
      <c r="C20" s="39" t="s">
        <v>13</v>
      </c>
      <c r="D20" s="39">
        <v>0.69</v>
      </c>
      <c r="E20" s="22">
        <v>3200</v>
      </c>
      <c r="F20" s="23">
        <f t="shared" si="0"/>
        <v>2208</v>
      </c>
      <c r="H20" s="2">
        <f>5.1-(3*0.7*2.1)</f>
        <v>0.6900000000000004</v>
      </c>
    </row>
    <row r="21" spans="1:8" ht="49.5" customHeight="1">
      <c r="A21" s="15" t="s">
        <v>40</v>
      </c>
      <c r="B21" s="38" t="s">
        <v>41</v>
      </c>
      <c r="C21" s="39" t="s">
        <v>42</v>
      </c>
      <c r="D21" s="39">
        <v>3.888</v>
      </c>
      <c r="E21" s="22">
        <v>135000</v>
      </c>
      <c r="F21" s="23">
        <f t="shared" si="0"/>
        <v>524880</v>
      </c>
      <c r="H21" s="39">
        <f>72*0.3*0.15*1.2</f>
        <v>3.8879999999999995</v>
      </c>
    </row>
    <row r="22" spans="1:6" ht="32.25" customHeight="1">
      <c r="A22" s="15" t="s">
        <v>43</v>
      </c>
      <c r="B22" s="38" t="s">
        <v>44</v>
      </c>
      <c r="C22" s="39" t="s">
        <v>42</v>
      </c>
      <c r="D22" s="39">
        <v>1</v>
      </c>
      <c r="E22" s="22">
        <v>135000</v>
      </c>
      <c r="F22" s="23">
        <f t="shared" si="0"/>
        <v>135000</v>
      </c>
    </row>
    <row r="23" spans="1:6" ht="36.75" customHeight="1">
      <c r="A23" s="15" t="s">
        <v>45</v>
      </c>
      <c r="B23" s="38" t="s">
        <v>46</v>
      </c>
      <c r="C23" s="39" t="s">
        <v>42</v>
      </c>
      <c r="D23" s="39">
        <f>9.48/0.1*0.02</f>
        <v>1.896</v>
      </c>
      <c r="E23" s="22">
        <v>113500</v>
      </c>
      <c r="F23" s="23">
        <f>D23*E23</f>
        <v>215196</v>
      </c>
    </row>
    <row r="24" spans="1:8" ht="48" customHeight="1">
      <c r="A24" s="15" t="s">
        <v>47</v>
      </c>
      <c r="B24" s="38" t="s">
        <v>48</v>
      </c>
      <c r="C24" s="39" t="s">
        <v>13</v>
      </c>
      <c r="D24" s="39">
        <v>421.248</v>
      </c>
      <c r="E24" s="22">
        <v>1610</v>
      </c>
      <c r="F24" s="23">
        <f t="shared" si="0"/>
        <v>678209.28</v>
      </c>
      <c r="H24" s="2">
        <f>((3.2*(72-22*0.15)*1.1)-((3*1.4*2.1)+(1.2*2.1)+(2*0.8*2.1)+(2*0.7*2.1)+(7*1.4*1.2)+(5*0.6*0.6)))*2</f>
        <v>421.2480000000001</v>
      </c>
    </row>
    <row r="25" spans="1:6" ht="29.25" customHeight="1">
      <c r="A25" s="44"/>
      <c r="B25" s="69" t="s">
        <v>49</v>
      </c>
      <c r="C25" s="69"/>
      <c r="D25" s="69"/>
      <c r="E25" s="69"/>
      <c r="F25" s="29">
        <f>SUM(F13:F24)</f>
        <v>5886973.48</v>
      </c>
    </row>
    <row r="26" spans="1:7" ht="20.25" customHeight="1">
      <c r="A26" s="9" t="s">
        <v>50</v>
      </c>
      <c r="B26" s="11" t="s">
        <v>51</v>
      </c>
      <c r="C26" s="12"/>
      <c r="D26" s="13"/>
      <c r="E26" s="12"/>
      <c r="F26" s="14"/>
      <c r="G26" s="10"/>
    </row>
    <row r="27" spans="1:7" ht="20.25" customHeight="1">
      <c r="A27" s="15" t="s">
        <v>52</v>
      </c>
      <c r="B27" s="16" t="s">
        <v>53</v>
      </c>
      <c r="C27" s="17" t="s">
        <v>54</v>
      </c>
      <c r="D27" s="17">
        <v>71.26</v>
      </c>
      <c r="E27" s="18">
        <v>8000</v>
      </c>
      <c r="F27" s="19">
        <f>D27*E27</f>
        <v>570080</v>
      </c>
      <c r="G27" s="10"/>
    </row>
    <row r="28" spans="1:7" ht="20.25" customHeight="1">
      <c r="A28" s="15" t="s">
        <v>55</v>
      </c>
      <c r="B28" s="20" t="s">
        <v>56</v>
      </c>
      <c r="C28" s="17" t="s">
        <v>57</v>
      </c>
      <c r="D28" s="21">
        <v>48.8</v>
      </c>
      <c r="E28" s="22">
        <v>2500</v>
      </c>
      <c r="F28" s="23">
        <f>+D28*E28</f>
        <v>122000</v>
      </c>
      <c r="G28" s="10"/>
    </row>
    <row r="29" spans="1:7" s="50" customFormat="1" ht="38.25" customHeight="1">
      <c r="A29" s="45" t="s">
        <v>58</v>
      </c>
      <c r="B29" s="41" t="s">
        <v>59</v>
      </c>
      <c r="C29" s="46" t="s">
        <v>54</v>
      </c>
      <c r="D29" s="46">
        <v>13.68</v>
      </c>
      <c r="E29" s="47">
        <v>8500</v>
      </c>
      <c r="F29" s="48">
        <f>D29*E29</f>
        <v>116280</v>
      </c>
      <c r="G29" s="49"/>
    </row>
    <row r="30" spans="1:7" s="50" customFormat="1" ht="38.25" customHeight="1">
      <c r="A30" s="45" t="s">
        <v>60</v>
      </c>
      <c r="B30" s="38" t="s">
        <v>61</v>
      </c>
      <c r="C30" s="46" t="s">
        <v>54</v>
      </c>
      <c r="D30" s="51">
        <v>43.12</v>
      </c>
      <c r="E30" s="52">
        <v>6000</v>
      </c>
      <c r="F30" s="53">
        <f>E30*D30</f>
        <v>258719.99999999997</v>
      </c>
      <c r="G30" s="49"/>
    </row>
    <row r="31" spans="1:7" ht="20.25" customHeight="1">
      <c r="A31" s="27"/>
      <c r="B31" s="69" t="s">
        <v>62</v>
      </c>
      <c r="C31" s="69"/>
      <c r="D31" s="69"/>
      <c r="E31" s="69"/>
      <c r="F31" s="29">
        <f>SUM(F27:F30)</f>
        <v>1067080</v>
      </c>
      <c r="G31" s="10"/>
    </row>
    <row r="32" spans="1:7" ht="20.25" customHeight="1">
      <c r="A32" s="9" t="s">
        <v>63</v>
      </c>
      <c r="B32" s="11" t="s">
        <v>64</v>
      </c>
      <c r="C32" s="12"/>
      <c r="D32" s="13"/>
      <c r="E32" s="12"/>
      <c r="F32" s="14"/>
      <c r="G32" s="10"/>
    </row>
    <row r="33" spans="1:7" s="50" customFormat="1" ht="36.75" customHeight="1">
      <c r="A33" s="45" t="s">
        <v>65</v>
      </c>
      <c r="B33" s="41" t="s">
        <v>66</v>
      </c>
      <c r="C33" s="46" t="s">
        <v>5</v>
      </c>
      <c r="D33" s="46">
        <v>5</v>
      </c>
      <c r="E33" s="47">
        <f>0.7*2.2*28000</f>
        <v>43120</v>
      </c>
      <c r="F33" s="48">
        <f>E33*D33</f>
        <v>215600</v>
      </c>
      <c r="G33" s="49"/>
    </row>
    <row r="34" spans="1:7" ht="19.5" customHeight="1">
      <c r="A34" s="15" t="s">
        <v>67</v>
      </c>
      <c r="B34" s="20" t="s">
        <v>68</v>
      </c>
      <c r="C34" s="17" t="s">
        <v>5</v>
      </c>
      <c r="D34" s="21">
        <v>2</v>
      </c>
      <c r="E34" s="22">
        <f>0.8*2.2*25000</f>
        <v>44000.00000000001</v>
      </c>
      <c r="F34" s="23">
        <f>D34*E34</f>
        <v>88000.00000000001</v>
      </c>
      <c r="G34" s="10"/>
    </row>
    <row r="35" spans="1:7" ht="20.25" customHeight="1">
      <c r="A35" s="15" t="s">
        <v>69</v>
      </c>
      <c r="B35" s="24" t="s">
        <v>70</v>
      </c>
      <c r="C35" s="17" t="s">
        <v>5</v>
      </c>
      <c r="D35" s="25">
        <v>4</v>
      </c>
      <c r="E35" s="26">
        <f>+(1.5*2.2)*30000</f>
        <v>99000.00000000001</v>
      </c>
      <c r="F35" s="23">
        <f>+D35*E35</f>
        <v>396000.00000000006</v>
      </c>
      <c r="G35" s="10"/>
    </row>
    <row r="36" spans="1:7" ht="20.25" customHeight="1">
      <c r="A36" s="27"/>
      <c r="B36" s="69" t="s">
        <v>71</v>
      </c>
      <c r="C36" s="69"/>
      <c r="D36" s="69"/>
      <c r="E36" s="69"/>
      <c r="F36" s="29">
        <f>SUM(F33:F35)</f>
        <v>699600</v>
      </c>
      <c r="G36" s="10"/>
    </row>
    <row r="37" spans="1:7" ht="20.25" customHeight="1">
      <c r="A37" s="9" t="s">
        <v>72</v>
      </c>
      <c r="B37" s="11" t="s">
        <v>73</v>
      </c>
      <c r="C37" s="12"/>
      <c r="D37" s="13"/>
      <c r="E37" s="12"/>
      <c r="F37" s="14"/>
      <c r="G37" s="10"/>
    </row>
    <row r="38" spans="1:7" s="50" customFormat="1" ht="45.75" customHeight="1">
      <c r="A38" s="45" t="s">
        <v>74</v>
      </c>
      <c r="B38" s="41" t="s">
        <v>75</v>
      </c>
      <c r="C38" s="46" t="s">
        <v>5</v>
      </c>
      <c r="D38" s="46">
        <v>4</v>
      </c>
      <c r="E38" s="47">
        <f>+(0.6*0.6)*110000</f>
        <v>39600</v>
      </c>
      <c r="F38" s="48">
        <f>E38*D38</f>
        <v>158400</v>
      </c>
      <c r="G38" s="49"/>
    </row>
    <row r="39" spans="1:7" s="50" customFormat="1" ht="42" customHeight="1">
      <c r="A39" s="45" t="s">
        <v>76</v>
      </c>
      <c r="B39" s="38" t="s">
        <v>77</v>
      </c>
      <c r="C39" s="46" t="s">
        <v>5</v>
      </c>
      <c r="D39" s="51">
        <v>8</v>
      </c>
      <c r="E39" s="52">
        <f>+(1.2*1.2)*90000</f>
        <v>129600</v>
      </c>
      <c r="F39" s="53">
        <f>+D39*E39</f>
        <v>1036800</v>
      </c>
      <c r="G39" s="49"/>
    </row>
    <row r="40" spans="1:7" ht="20.25" customHeight="1">
      <c r="A40" s="27"/>
      <c r="B40" s="69" t="s">
        <v>78</v>
      </c>
      <c r="C40" s="69"/>
      <c r="D40" s="69"/>
      <c r="E40" s="69"/>
      <c r="F40" s="29">
        <f>SUM(F38:F39)</f>
        <v>1195200</v>
      </c>
      <c r="G40" s="10"/>
    </row>
    <row r="41" spans="1:7" ht="20.25" customHeight="1">
      <c r="A41" s="9" t="s">
        <v>79</v>
      </c>
      <c r="B41" s="11" t="s">
        <v>80</v>
      </c>
      <c r="C41" s="12"/>
      <c r="D41" s="13"/>
      <c r="E41" s="12"/>
      <c r="F41" s="14"/>
      <c r="G41" s="10"/>
    </row>
    <row r="42" spans="1:7" s="50" customFormat="1" ht="36.75" customHeight="1">
      <c r="A42" s="45" t="s">
        <v>81</v>
      </c>
      <c r="B42" s="41" t="s">
        <v>82</v>
      </c>
      <c r="C42" s="46" t="s">
        <v>5</v>
      </c>
      <c r="D42" s="46">
        <v>8</v>
      </c>
      <c r="E42" s="47">
        <f>+(1.3*1.3)*45000</f>
        <v>76050.00000000001</v>
      </c>
      <c r="F42" s="48">
        <f>+D42*E42</f>
        <v>608400.0000000001</v>
      </c>
      <c r="G42" s="49"/>
    </row>
    <row r="43" spans="1:7" s="50" customFormat="1" ht="36.75" customHeight="1">
      <c r="A43" s="45" t="s">
        <v>83</v>
      </c>
      <c r="B43" s="38" t="s">
        <v>84</v>
      </c>
      <c r="C43" s="46" t="s">
        <v>5</v>
      </c>
      <c r="D43" s="51">
        <v>4</v>
      </c>
      <c r="E43" s="52">
        <f>+(0.7*0.7)*45000</f>
        <v>22049.999999999996</v>
      </c>
      <c r="F43" s="53">
        <f>+D43*E43</f>
        <v>88199.99999999999</v>
      </c>
      <c r="G43" s="49"/>
    </row>
    <row r="44" spans="1:7" ht="20.25" customHeight="1">
      <c r="A44" s="15" t="s">
        <v>85</v>
      </c>
      <c r="B44" s="20" t="s">
        <v>86</v>
      </c>
      <c r="C44" s="17" t="s">
        <v>54</v>
      </c>
      <c r="D44" s="21">
        <v>124</v>
      </c>
      <c r="E44" s="22">
        <v>12500</v>
      </c>
      <c r="F44" s="23">
        <f>+D44*E44</f>
        <v>1550000</v>
      </c>
      <c r="G44" s="10"/>
    </row>
    <row r="45" spans="1:7" ht="20.25" customHeight="1">
      <c r="A45" s="27"/>
      <c r="B45" s="69" t="s">
        <v>87</v>
      </c>
      <c r="C45" s="69"/>
      <c r="D45" s="69"/>
      <c r="E45" s="69"/>
      <c r="F45" s="29">
        <f>SUM(F42:F44)</f>
        <v>2246600</v>
      </c>
      <c r="G45" s="10"/>
    </row>
    <row r="46" spans="1:7" ht="20.25" customHeight="1">
      <c r="A46" s="9" t="s">
        <v>88</v>
      </c>
      <c r="B46" s="11" t="s">
        <v>89</v>
      </c>
      <c r="C46" s="12"/>
      <c r="D46" s="13"/>
      <c r="E46" s="12"/>
      <c r="F46" s="14"/>
      <c r="G46" s="10"/>
    </row>
    <row r="47" spans="1:7" ht="20.25" customHeight="1">
      <c r="A47" s="9"/>
      <c r="B47" s="11" t="s">
        <v>90</v>
      </c>
      <c r="C47" s="12"/>
      <c r="D47" s="13"/>
      <c r="E47" s="12"/>
      <c r="F47" s="14"/>
      <c r="G47" s="10"/>
    </row>
    <row r="48" spans="1:7" ht="20.25" customHeight="1">
      <c r="A48" s="9" t="s">
        <v>91</v>
      </c>
      <c r="B48" s="11" t="s">
        <v>92</v>
      </c>
      <c r="C48" s="12"/>
      <c r="D48" s="13"/>
      <c r="E48" s="12"/>
      <c r="F48" s="14"/>
      <c r="G48" s="10"/>
    </row>
    <row r="49" spans="1:7" ht="35.25" customHeight="1">
      <c r="A49" s="15">
        <v>1</v>
      </c>
      <c r="B49" s="20" t="s">
        <v>93</v>
      </c>
      <c r="C49" s="17" t="s">
        <v>94</v>
      </c>
      <c r="D49" s="21">
        <v>1</v>
      </c>
      <c r="E49" s="22">
        <f>40*1200*2*1.5+80*1800*1.5</f>
        <v>360000</v>
      </c>
      <c r="F49" s="23">
        <f>E49</f>
        <v>360000</v>
      </c>
      <c r="G49" s="10"/>
    </row>
    <row r="50" spans="1:6" ht="38.25" customHeight="1">
      <c r="A50" s="45">
        <v>2</v>
      </c>
      <c r="B50" s="41" t="s">
        <v>95</v>
      </c>
      <c r="C50" s="17" t="s">
        <v>5</v>
      </c>
      <c r="D50" s="54">
        <v>4</v>
      </c>
      <c r="E50" s="18">
        <v>60000</v>
      </c>
      <c r="F50" s="19">
        <f>E50*D50</f>
        <v>240000</v>
      </c>
    </row>
    <row r="51" spans="1:7" ht="20.25" customHeight="1">
      <c r="A51" s="27"/>
      <c r="B51" s="69" t="s">
        <v>96</v>
      </c>
      <c r="C51" s="69"/>
      <c r="D51" s="69"/>
      <c r="E51" s="69"/>
      <c r="F51" s="29">
        <f>SUM(F48:F50)</f>
        <v>600000</v>
      </c>
      <c r="G51" s="10"/>
    </row>
    <row r="52" spans="1:7" ht="20.25" customHeight="1">
      <c r="A52" s="9" t="s">
        <v>97</v>
      </c>
      <c r="B52" s="11" t="s">
        <v>98</v>
      </c>
      <c r="C52" s="12"/>
      <c r="D52" s="13"/>
      <c r="E52" s="12"/>
      <c r="F52" s="14"/>
      <c r="G52" s="10"/>
    </row>
    <row r="53" spans="1:7" s="50" customFormat="1" ht="35.25" customHeight="1">
      <c r="A53" s="45">
        <v>1</v>
      </c>
      <c r="B53" s="41" t="s">
        <v>99</v>
      </c>
      <c r="C53" s="46" t="s">
        <v>5</v>
      </c>
      <c r="D53" s="46">
        <v>1</v>
      </c>
      <c r="E53" s="47">
        <f>45144*1.6+12000</f>
        <v>84230.40000000001</v>
      </c>
      <c r="F53" s="48">
        <f>E53*D53</f>
        <v>84230.40000000001</v>
      </c>
      <c r="G53" s="49"/>
    </row>
    <row r="54" spans="1:7" s="50" customFormat="1" ht="35.25" customHeight="1">
      <c r="A54" s="45">
        <v>2</v>
      </c>
      <c r="B54" s="38" t="s">
        <v>100</v>
      </c>
      <c r="C54" s="46" t="s">
        <v>5</v>
      </c>
      <c r="D54" s="51">
        <v>2</v>
      </c>
      <c r="E54" s="52">
        <f>33000*1.6+25000</f>
        <v>77800</v>
      </c>
      <c r="F54" s="53">
        <f>E54*D54</f>
        <v>155600</v>
      </c>
      <c r="G54" s="49"/>
    </row>
    <row r="55" spans="1:7" s="50" customFormat="1" ht="35.25" customHeight="1">
      <c r="A55" s="45">
        <v>3</v>
      </c>
      <c r="B55" s="38" t="s">
        <v>101</v>
      </c>
      <c r="C55" s="46" t="s">
        <v>5</v>
      </c>
      <c r="D55" s="51">
        <v>1</v>
      </c>
      <c r="E55" s="52">
        <f>+(42373+9322+8051+11017)*1.6+12000</f>
        <v>125220.8</v>
      </c>
      <c r="F55" s="53">
        <f>D55*E55</f>
        <v>125220.8</v>
      </c>
      <c r="G55" s="49"/>
    </row>
    <row r="56" spans="1:7" s="50" customFormat="1" ht="35.25" customHeight="1">
      <c r="A56" s="45">
        <v>4</v>
      </c>
      <c r="B56" s="38" t="s">
        <v>102</v>
      </c>
      <c r="C56" s="46" t="s">
        <v>5</v>
      </c>
      <c r="D56" s="51">
        <v>4</v>
      </c>
      <c r="E56" s="52">
        <f>45542*1.6</f>
        <v>72867.2</v>
      </c>
      <c r="F56" s="53">
        <f>D56*E56</f>
        <v>291468.8</v>
      </c>
      <c r="G56" s="49"/>
    </row>
    <row r="57" spans="1:7" s="50" customFormat="1" ht="35.25" customHeight="1">
      <c r="A57" s="45">
        <v>5</v>
      </c>
      <c r="B57" s="38" t="s">
        <v>103</v>
      </c>
      <c r="C57" s="46" t="s">
        <v>5</v>
      </c>
      <c r="D57" s="51">
        <v>3</v>
      </c>
      <c r="E57" s="52">
        <v>3500</v>
      </c>
      <c r="F57" s="53">
        <f>D57*E57</f>
        <v>10500</v>
      </c>
      <c r="G57" s="49"/>
    </row>
    <row r="58" spans="1:7" ht="20.25" customHeight="1">
      <c r="A58" s="27"/>
      <c r="B58" s="69" t="s">
        <v>104</v>
      </c>
      <c r="C58" s="69"/>
      <c r="D58" s="69"/>
      <c r="E58" s="69"/>
      <c r="F58" s="29">
        <f>SUM(F53:F57)</f>
        <v>667020</v>
      </c>
      <c r="G58" s="10"/>
    </row>
    <row r="59" spans="1:7" ht="20.25" customHeight="1">
      <c r="A59" s="27"/>
      <c r="B59" s="69" t="s">
        <v>105</v>
      </c>
      <c r="C59" s="69"/>
      <c r="D59" s="69"/>
      <c r="E59" s="69"/>
      <c r="F59" s="29">
        <f>+F58+F51</f>
        <v>1267020</v>
      </c>
      <c r="G59" s="10"/>
    </row>
    <row r="60" spans="1:7" ht="20.25" customHeight="1">
      <c r="A60" s="9"/>
      <c r="B60" s="11" t="s">
        <v>106</v>
      </c>
      <c r="C60" s="12"/>
      <c r="D60" s="13"/>
      <c r="E60" s="12"/>
      <c r="F60" s="14"/>
      <c r="G60" s="10"/>
    </row>
    <row r="61" spans="1:7" ht="20.25" customHeight="1">
      <c r="A61" s="9" t="s">
        <v>107</v>
      </c>
      <c r="B61" s="11" t="s">
        <v>108</v>
      </c>
      <c r="C61" s="12"/>
      <c r="D61" s="13"/>
      <c r="E61" s="12"/>
      <c r="F61" s="14"/>
      <c r="G61" s="10"/>
    </row>
    <row r="62" spans="1:7" ht="21.75" customHeight="1">
      <c r="A62" s="15" t="s">
        <v>109</v>
      </c>
      <c r="B62" s="20" t="s">
        <v>110</v>
      </c>
      <c r="C62" s="17" t="s">
        <v>5</v>
      </c>
      <c r="D62" s="21">
        <v>4</v>
      </c>
      <c r="E62" s="22">
        <v>5762</v>
      </c>
      <c r="F62" s="23">
        <f>E62*D62</f>
        <v>23048</v>
      </c>
      <c r="G62" s="10"/>
    </row>
    <row r="63" spans="1:7" ht="21.75" customHeight="1">
      <c r="A63" s="15" t="s">
        <v>111</v>
      </c>
      <c r="B63" s="20" t="s">
        <v>112</v>
      </c>
      <c r="C63" s="17" t="s">
        <v>5</v>
      </c>
      <c r="D63" s="21">
        <v>4</v>
      </c>
      <c r="E63" s="22">
        <v>12200</v>
      </c>
      <c r="F63" s="23">
        <f>+D63*E63</f>
        <v>48800</v>
      </c>
      <c r="G63" s="10"/>
    </row>
    <row r="64" spans="1:7" ht="21.75" customHeight="1">
      <c r="A64" s="15" t="s">
        <v>113</v>
      </c>
      <c r="B64" s="20" t="s">
        <v>114</v>
      </c>
      <c r="C64" s="17" t="s">
        <v>5</v>
      </c>
      <c r="D64" s="21">
        <v>3</v>
      </c>
      <c r="E64" s="22">
        <v>12000</v>
      </c>
      <c r="F64" s="23">
        <f>E64*D64</f>
        <v>36000</v>
      </c>
      <c r="G64" s="10"/>
    </row>
    <row r="65" spans="1:7" ht="21.75" customHeight="1">
      <c r="A65" s="15" t="s">
        <v>115</v>
      </c>
      <c r="B65" s="20" t="s">
        <v>116</v>
      </c>
      <c r="C65" s="17" t="s">
        <v>5</v>
      </c>
      <c r="D65" s="21">
        <v>5</v>
      </c>
      <c r="E65" s="22">
        <v>1500</v>
      </c>
      <c r="F65" s="23">
        <f>E65*D65</f>
        <v>7500</v>
      </c>
      <c r="G65" s="10"/>
    </row>
    <row r="66" spans="1:7" ht="21.75" customHeight="1">
      <c r="A66" s="15" t="s">
        <v>117</v>
      </c>
      <c r="B66" s="20" t="s">
        <v>118</v>
      </c>
      <c r="C66" s="17" t="s">
        <v>5</v>
      </c>
      <c r="D66" s="21">
        <v>4</v>
      </c>
      <c r="E66" s="22">
        <v>1500</v>
      </c>
      <c r="F66" s="23">
        <f>+D66*E66</f>
        <v>6000</v>
      </c>
      <c r="G66" s="10"/>
    </row>
    <row r="67" spans="1:7" ht="21.75" customHeight="1">
      <c r="A67" s="15" t="s">
        <v>119</v>
      </c>
      <c r="B67" s="20" t="s">
        <v>120</v>
      </c>
      <c r="C67" s="17" t="s">
        <v>5</v>
      </c>
      <c r="D67" s="21">
        <v>10</v>
      </c>
      <c r="E67" s="22">
        <v>1500</v>
      </c>
      <c r="F67" s="23">
        <f>E67*D67</f>
        <v>15000</v>
      </c>
      <c r="G67" s="10"/>
    </row>
    <row r="68" spans="1:7" ht="24" customHeight="1">
      <c r="A68" s="15" t="s">
        <v>121</v>
      </c>
      <c r="B68" s="20" t="s">
        <v>122</v>
      </c>
      <c r="C68" s="17" t="s">
        <v>5</v>
      </c>
      <c r="D68" s="21">
        <v>2</v>
      </c>
      <c r="E68" s="22">
        <v>2500</v>
      </c>
      <c r="F68" s="23">
        <f>+D68*E68</f>
        <v>5000</v>
      </c>
      <c r="G68" s="10"/>
    </row>
    <row r="69" spans="1:7" ht="24" customHeight="1">
      <c r="A69" s="15" t="s">
        <v>123</v>
      </c>
      <c r="B69" s="20" t="s">
        <v>124</v>
      </c>
      <c r="C69" s="17" t="s">
        <v>5</v>
      </c>
      <c r="D69" s="21">
        <v>3</v>
      </c>
      <c r="E69" s="22">
        <v>1500</v>
      </c>
      <c r="F69" s="23">
        <f>+D69*E69</f>
        <v>4500</v>
      </c>
      <c r="G69" s="10"/>
    </row>
    <row r="70" spans="1:7" ht="24" customHeight="1">
      <c r="A70" s="15" t="s">
        <v>125</v>
      </c>
      <c r="B70" s="20" t="s">
        <v>126</v>
      </c>
      <c r="C70" s="17" t="s">
        <v>94</v>
      </c>
      <c r="D70" s="21">
        <v>1</v>
      </c>
      <c r="E70" s="22">
        <v>200000</v>
      </c>
      <c r="F70" s="23">
        <f>+D70*E70</f>
        <v>200000</v>
      </c>
      <c r="G70" s="10"/>
    </row>
    <row r="71" spans="1:7" ht="24" customHeight="1">
      <c r="A71" s="15" t="s">
        <v>127</v>
      </c>
      <c r="B71" s="20" t="s">
        <v>128</v>
      </c>
      <c r="C71" s="17" t="s">
        <v>5</v>
      </c>
      <c r="D71" s="21">
        <v>1</v>
      </c>
      <c r="E71" s="22">
        <v>110000</v>
      </c>
      <c r="F71" s="23">
        <f>+D71*E71</f>
        <v>110000</v>
      </c>
      <c r="G71" s="10"/>
    </row>
    <row r="72" spans="1:7" s="50" customFormat="1" ht="35.25" customHeight="1">
      <c r="A72" s="45" t="s">
        <v>129</v>
      </c>
      <c r="B72" s="38" t="s">
        <v>130</v>
      </c>
      <c r="C72" s="46" t="s">
        <v>5</v>
      </c>
      <c r="D72" s="51">
        <v>1</v>
      </c>
      <c r="E72" s="52">
        <v>50000</v>
      </c>
      <c r="F72" s="53">
        <f>+D72*E72</f>
        <v>50000</v>
      </c>
      <c r="G72" s="49"/>
    </row>
    <row r="73" spans="1:7" ht="20.25" customHeight="1">
      <c r="A73" s="27"/>
      <c r="B73" s="69" t="s">
        <v>131</v>
      </c>
      <c r="C73" s="69"/>
      <c r="D73" s="69"/>
      <c r="E73" s="69"/>
      <c r="F73" s="29">
        <f>SUM(F62:F72)</f>
        <v>505848</v>
      </c>
      <c r="G73" s="10"/>
    </row>
    <row r="74" spans="1:7" ht="20.25" customHeight="1">
      <c r="A74" s="9" t="s">
        <v>132</v>
      </c>
      <c r="B74" s="11" t="s">
        <v>133</v>
      </c>
      <c r="C74" s="12"/>
      <c r="D74" s="13"/>
      <c r="E74" s="12"/>
      <c r="F74" s="14"/>
      <c r="G74" s="10"/>
    </row>
    <row r="75" spans="1:7" ht="24" customHeight="1">
      <c r="A75" s="15" t="s">
        <v>134</v>
      </c>
      <c r="B75" s="20" t="s">
        <v>135</v>
      </c>
      <c r="C75" s="17" t="s">
        <v>54</v>
      </c>
      <c r="D75" s="21">
        <f>+D24</f>
        <v>421.248</v>
      </c>
      <c r="E75" s="22">
        <v>1863</v>
      </c>
      <c r="F75" s="23">
        <f>E75*D75</f>
        <v>784785.024</v>
      </c>
      <c r="G75" s="10"/>
    </row>
    <row r="76" spans="1:7" ht="24" customHeight="1">
      <c r="A76" s="15" t="s">
        <v>136</v>
      </c>
      <c r="B76" s="20" t="s">
        <v>137</v>
      </c>
      <c r="C76" s="17" t="s">
        <v>54</v>
      </c>
      <c r="D76" s="21">
        <v>21.12</v>
      </c>
      <c r="E76" s="22">
        <v>1880</v>
      </c>
      <c r="F76" s="23">
        <f>E76*D76</f>
        <v>39705.6</v>
      </c>
      <c r="G76" s="10"/>
    </row>
    <row r="77" spans="1:7" ht="24" customHeight="1">
      <c r="A77" s="15" t="s">
        <v>138</v>
      </c>
      <c r="B77" s="20" t="s">
        <v>139</v>
      </c>
      <c r="C77" s="17" t="s">
        <v>54</v>
      </c>
      <c r="D77" s="21">
        <v>20.33</v>
      </c>
      <c r="E77" s="22">
        <v>1880</v>
      </c>
      <c r="F77" s="23">
        <f>E77*D77</f>
        <v>38220.399999999994</v>
      </c>
      <c r="G77" s="10"/>
    </row>
    <row r="78" spans="1:7" ht="20.25" customHeight="1">
      <c r="A78" s="27"/>
      <c r="B78" s="69" t="s">
        <v>140</v>
      </c>
      <c r="C78" s="69"/>
      <c r="D78" s="69"/>
      <c r="E78" s="69"/>
      <c r="F78" s="29">
        <f>SUM(F75:F77)</f>
        <v>862711.024</v>
      </c>
      <c r="G78" s="10"/>
    </row>
    <row r="80" spans="1:7" ht="20.25" customHeight="1">
      <c r="A80" s="55"/>
      <c r="B80" s="10"/>
      <c r="C80" s="10"/>
      <c r="D80" s="10"/>
      <c r="E80" s="10"/>
      <c r="F80" s="10"/>
      <c r="G80" s="10"/>
    </row>
    <row r="81" spans="1:6" ht="19.5" customHeight="1">
      <c r="A81" s="56" t="s">
        <v>141</v>
      </c>
      <c r="F81" s="57"/>
    </row>
    <row r="82" spans="1:7" ht="20.25" customHeight="1">
      <c r="A82" s="55"/>
      <c r="B82" s="10"/>
      <c r="C82" s="10"/>
      <c r="D82" s="10"/>
      <c r="E82" s="10"/>
      <c r="F82" s="10"/>
      <c r="G82" s="10"/>
    </row>
    <row r="83" spans="1:7" ht="20.25" customHeight="1">
      <c r="A83" s="55"/>
      <c r="B83" s="10"/>
      <c r="C83" s="10"/>
      <c r="D83" s="10"/>
      <c r="E83" s="10"/>
      <c r="F83" s="10"/>
      <c r="G83" s="10"/>
    </row>
    <row r="84" spans="1:7" ht="20.25" customHeight="1">
      <c r="A84" s="55"/>
      <c r="B84" s="10"/>
      <c r="C84" s="10"/>
      <c r="D84" s="10"/>
      <c r="E84" s="10"/>
      <c r="F84" s="10"/>
      <c r="G84" s="10"/>
    </row>
    <row r="85" spans="1:7" ht="20.25" customHeight="1">
      <c r="A85" s="55"/>
      <c r="B85" s="10"/>
      <c r="C85" s="10"/>
      <c r="D85" s="10"/>
      <c r="E85" s="10"/>
      <c r="F85" s="10"/>
      <c r="G85" s="10"/>
    </row>
    <row r="86" spans="1:7" ht="20.25" customHeight="1">
      <c r="A86" s="55"/>
      <c r="B86" s="10"/>
      <c r="C86" s="10"/>
      <c r="D86" s="10"/>
      <c r="E86" s="10"/>
      <c r="F86" s="10"/>
      <c r="G86" s="10"/>
    </row>
    <row r="87" spans="1:6" ht="20.25" customHeight="1">
      <c r="A87" s="55"/>
      <c r="B87" s="10"/>
      <c r="C87" s="10"/>
      <c r="D87" s="10"/>
      <c r="E87" s="10"/>
      <c r="F87" s="10"/>
    </row>
  </sheetData>
  <mergeCells count="11">
    <mergeCell ref="B59:E59"/>
    <mergeCell ref="B73:E73"/>
    <mergeCell ref="B78:E78"/>
    <mergeCell ref="B40:E40"/>
    <mergeCell ref="B45:E45"/>
    <mergeCell ref="B51:E51"/>
    <mergeCell ref="B58:E58"/>
    <mergeCell ref="B11:E11"/>
    <mergeCell ref="B25:E25"/>
    <mergeCell ref="B31:E31"/>
    <mergeCell ref="B36:E3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5.57421875" style="2" customWidth="1"/>
    <col min="2" max="2" width="55.00390625" style="2" customWidth="1"/>
    <col min="3" max="3" width="25.28125" style="2" customWidth="1"/>
    <col min="4" max="16384" width="11.421875" style="2" customWidth="1"/>
  </cols>
  <sheetData>
    <row r="1" ht="15">
      <c r="B1" s="58" t="s">
        <v>142</v>
      </c>
    </row>
    <row r="3" spans="1:3" ht="26.25" customHeight="1">
      <c r="A3" s="9" t="s">
        <v>3</v>
      </c>
      <c r="B3" s="59" t="s">
        <v>143</v>
      </c>
      <c r="C3" s="60" t="s">
        <v>144</v>
      </c>
    </row>
    <row r="4" spans="1:3" ht="27" customHeight="1">
      <c r="A4" s="61" t="s">
        <v>9</v>
      </c>
      <c r="B4" s="62" t="s">
        <v>145</v>
      </c>
      <c r="C4" s="63">
        <f>'DEVIS 01'!F11</f>
        <v>501222</v>
      </c>
    </row>
    <row r="5" spans="1:3" ht="27" customHeight="1">
      <c r="A5" s="61" t="s">
        <v>22</v>
      </c>
      <c r="B5" s="62" t="s">
        <v>146</v>
      </c>
      <c r="C5" s="63">
        <f>'DEVIS 01'!F25</f>
        <v>5886973.48</v>
      </c>
    </row>
    <row r="6" spans="1:3" ht="27" customHeight="1">
      <c r="A6" s="9" t="s">
        <v>50</v>
      </c>
      <c r="B6" s="62" t="s">
        <v>147</v>
      </c>
      <c r="C6" s="63">
        <f>+'DEVIS 01'!F31</f>
        <v>1067080</v>
      </c>
    </row>
    <row r="7" spans="1:3" ht="27" customHeight="1">
      <c r="A7" s="9" t="s">
        <v>63</v>
      </c>
      <c r="B7" s="62" t="s">
        <v>148</v>
      </c>
      <c r="C7" s="63">
        <f>+'DEVIS 01'!F36</f>
        <v>699600</v>
      </c>
    </row>
    <row r="8" spans="1:3" ht="27" customHeight="1">
      <c r="A8" s="64" t="s">
        <v>72</v>
      </c>
      <c r="B8" s="62" t="s">
        <v>149</v>
      </c>
      <c r="C8" s="63">
        <f>+'DEVIS 01'!F40</f>
        <v>1195200</v>
      </c>
    </row>
    <row r="9" spans="1:3" s="50" customFormat="1" ht="45" customHeight="1">
      <c r="A9" s="28" t="s">
        <v>79</v>
      </c>
      <c r="B9" s="65" t="s">
        <v>150</v>
      </c>
      <c r="C9" s="63">
        <f>+'DEVIS 01'!F45</f>
        <v>2246600</v>
      </c>
    </row>
    <row r="10" spans="1:3" ht="36.75" customHeight="1">
      <c r="A10" s="9" t="s">
        <v>88</v>
      </c>
      <c r="B10" s="65" t="s">
        <v>151</v>
      </c>
      <c r="C10" s="66">
        <f>'DEVIS 01'!F59</f>
        <v>1267020</v>
      </c>
    </row>
    <row r="11" spans="1:3" ht="24.75" customHeight="1">
      <c r="A11" s="67" t="s">
        <v>107</v>
      </c>
      <c r="B11" s="62" t="s">
        <v>152</v>
      </c>
      <c r="C11" s="66">
        <f>+'DEVIS 01'!F73</f>
        <v>505848</v>
      </c>
    </row>
    <row r="12" spans="1:3" ht="24.75" customHeight="1">
      <c r="A12" s="9" t="s">
        <v>132</v>
      </c>
      <c r="B12" s="13" t="s">
        <v>153</v>
      </c>
      <c r="C12" s="66">
        <f>+'DEVIS 01'!F78</f>
        <v>862711.024</v>
      </c>
    </row>
    <row r="13" spans="1:3" ht="18">
      <c r="A13" s="27"/>
      <c r="B13" s="68" t="s">
        <v>154</v>
      </c>
      <c r="C13" s="66">
        <f>SUM(C4:C12)</f>
        <v>14232254.504</v>
      </c>
    </row>
    <row r="14" spans="1:3" ht="18">
      <c r="A14" s="27"/>
      <c r="B14" s="68" t="s">
        <v>155</v>
      </c>
      <c r="C14" s="66">
        <f>0.18*C13</f>
        <v>2561805.81072</v>
      </c>
    </row>
    <row r="15" spans="1:3" ht="18">
      <c r="A15" s="27"/>
      <c r="B15" s="68" t="s">
        <v>156</v>
      </c>
      <c r="C15" s="66">
        <f>+C13+C14</f>
        <v>16794060.31472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